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nrisecooperative-my.sharepoint.com/personal/philaltstaetter_sunriseco-op_com/Documents/Private/Yearly Business/2025-26 Business/"/>
    </mc:Choice>
  </mc:AlternateContent>
  <xr:revisionPtr revIDLastSave="1" documentId="8_{D2209CEC-75F3-4241-93D8-93C107443CD6}" xr6:coauthVersionLast="47" xr6:coauthVersionMax="47" xr10:uidLastSave="{01F4CD8A-7E17-41FD-A3BF-15DFC2836AE7}"/>
  <bookViews>
    <workbookView xWindow="-108" yWindow="-108" windowWidth="23256" windowHeight="13896" xr2:uid="{F785A2C0-F751-4257-8016-60B39A67F6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F70" i="1"/>
  <c r="B70" i="1"/>
  <c r="J67" i="1"/>
  <c r="F67" i="1"/>
  <c r="B67" i="1"/>
  <c r="J66" i="1"/>
  <c r="F66" i="1"/>
  <c r="B66" i="1"/>
  <c r="J61" i="1"/>
  <c r="F61" i="1"/>
  <c r="B61" i="1"/>
  <c r="J59" i="1"/>
  <c r="F59" i="1"/>
  <c r="B59" i="1"/>
  <c r="B57" i="1"/>
  <c r="F43" i="1"/>
  <c r="J39" i="1"/>
  <c r="F39" i="1"/>
  <c r="I38" i="1"/>
  <c r="I58" i="1" s="1"/>
  <c r="J63" i="1" s="1"/>
  <c r="E38" i="1"/>
  <c r="E58" i="1" s="1"/>
  <c r="F63" i="1" s="1"/>
  <c r="A38" i="1"/>
  <c r="A58" i="1" s="1"/>
  <c r="C37" i="1"/>
  <c r="B37" i="1"/>
  <c r="B43" i="1" s="1"/>
  <c r="D31" i="1"/>
  <c r="B60" i="1" s="1"/>
  <c r="J30" i="1"/>
  <c r="K30" i="1" s="1"/>
  <c r="E30" i="1"/>
  <c r="I29" i="1"/>
  <c r="J29" i="1" s="1"/>
  <c r="D29" i="1"/>
  <c r="E29" i="1" s="1"/>
  <c r="K28" i="1"/>
  <c r="J28" i="1"/>
  <c r="D28" i="1"/>
  <c r="E28" i="1" s="1"/>
  <c r="J27" i="1"/>
  <c r="K27" i="1" s="1"/>
  <c r="E27" i="1"/>
  <c r="J25" i="1"/>
  <c r="K25" i="1" s="1"/>
  <c r="K26" i="1" s="1"/>
  <c r="E25" i="1"/>
  <c r="E31" i="1" s="1"/>
  <c r="B40" i="1" s="1"/>
  <c r="J24" i="1"/>
  <c r="K24" i="1" s="1"/>
  <c r="J23" i="1"/>
  <c r="J22" i="1"/>
  <c r="B17" i="1"/>
  <c r="D17" i="1" s="1"/>
  <c r="C16" i="1"/>
  <c r="B16" i="1"/>
  <c r="D16" i="1" s="1"/>
  <c r="C15" i="1"/>
  <c r="B15" i="1"/>
  <c r="D15" i="1" s="1"/>
  <c r="D18" i="1" s="1"/>
  <c r="J42" i="1" s="1"/>
  <c r="C11" i="1"/>
  <c r="B11" i="1"/>
  <c r="D11" i="1" s="1"/>
  <c r="C10" i="1"/>
  <c r="B10" i="1"/>
  <c r="D10" i="1" s="1"/>
  <c r="D12" i="1" s="1"/>
  <c r="I8" i="1"/>
  <c r="I7" i="1"/>
  <c r="I6" i="1"/>
  <c r="D6" i="1"/>
  <c r="I5" i="1"/>
  <c r="C5" i="1"/>
  <c r="D5" i="1" s="1"/>
  <c r="I4" i="1"/>
  <c r="C4" i="1"/>
  <c r="D4" i="1" s="1"/>
  <c r="D7" i="1" s="1"/>
  <c r="B42" i="1" s="1"/>
  <c r="F42" i="1" l="1"/>
  <c r="F62" i="1"/>
  <c r="J62" i="1"/>
  <c r="J31" i="1"/>
  <c r="B50" i="1"/>
  <c r="D40" i="1"/>
  <c r="B63" i="1"/>
  <c r="C57" i="1"/>
  <c r="D42" i="1"/>
  <c r="B62" i="1"/>
  <c r="K29" i="1"/>
  <c r="K31" i="1" s="1"/>
  <c r="J43" i="1"/>
  <c r="J40" i="1" l="1"/>
  <c r="F40" i="1"/>
  <c r="D63" i="1"/>
  <c r="D49" i="1"/>
  <c r="D45" i="1"/>
  <c r="D47" i="1"/>
  <c r="C51" i="1"/>
  <c r="B51" i="1"/>
  <c r="B53" i="1" s="1"/>
  <c r="D48" i="1"/>
  <c r="D44" i="1"/>
  <c r="D39" i="1"/>
  <c r="D50" i="1" s="1"/>
  <c r="D41" i="1"/>
  <c r="D46" i="1"/>
  <c r="B68" i="1"/>
  <c r="J60" i="1"/>
  <c r="F60" i="1"/>
  <c r="D43" i="1"/>
  <c r="H40" i="1" l="1"/>
  <c r="F50" i="1"/>
  <c r="J50" i="1"/>
  <c r="F68" i="1"/>
  <c r="H60" i="1"/>
  <c r="J68" i="1"/>
  <c r="L60" i="1"/>
  <c r="D65" i="1"/>
  <c r="C69" i="1"/>
  <c r="B69" i="1"/>
  <c r="B71" i="1" s="1"/>
  <c r="D64" i="1"/>
  <c r="D67" i="1"/>
  <c r="D59" i="1"/>
  <c r="D60" i="1"/>
  <c r="D61" i="1"/>
  <c r="D66" i="1"/>
  <c r="D62" i="1"/>
  <c r="K69" i="1" l="1"/>
  <c r="L67" i="1"/>
  <c r="L65" i="1"/>
  <c r="J69" i="1"/>
  <c r="J71" i="1" s="1"/>
  <c r="L64" i="1"/>
  <c r="L66" i="1"/>
  <c r="L63" i="1"/>
  <c r="L59" i="1"/>
  <c r="L61" i="1"/>
  <c r="L62" i="1"/>
  <c r="H65" i="1"/>
  <c r="G69" i="1"/>
  <c r="H67" i="1"/>
  <c r="F69" i="1"/>
  <c r="F71" i="1" s="1"/>
  <c r="H64" i="1"/>
  <c r="H63" i="1"/>
  <c r="H59" i="1"/>
  <c r="H66" i="1"/>
  <c r="H61" i="1"/>
  <c r="H62" i="1"/>
  <c r="L48" i="1"/>
  <c r="L44" i="1"/>
  <c r="L39" i="1"/>
  <c r="L46" i="1"/>
  <c r="K51" i="1"/>
  <c r="L49" i="1"/>
  <c r="L45" i="1"/>
  <c r="J51" i="1"/>
  <c r="J53" i="1" s="1"/>
  <c r="L47" i="1"/>
  <c r="L41" i="1"/>
  <c r="L42" i="1"/>
  <c r="L43" i="1"/>
  <c r="L40" i="1"/>
  <c r="D68" i="1"/>
  <c r="G51" i="1"/>
  <c r="F51" i="1"/>
  <c r="F53" i="1" s="1"/>
  <c r="H46" i="1"/>
  <c r="H49" i="1"/>
  <c r="H45" i="1"/>
  <c r="H48" i="1"/>
  <c r="H44" i="1"/>
  <c r="H47" i="1"/>
  <c r="H41" i="1"/>
  <c r="H39" i="1"/>
  <c r="H43" i="1"/>
  <c r="H42" i="1"/>
  <c r="L50" i="1" l="1"/>
  <c r="H50" i="1"/>
  <c r="L68" i="1"/>
  <c r="H68" i="1"/>
</calcChain>
</file>

<file path=xl/sharedStrings.xml><?xml version="1.0" encoding="utf-8"?>
<sst xmlns="http://schemas.openxmlformats.org/spreadsheetml/2006/main" count="193" uniqueCount="69">
  <si>
    <t>Corn</t>
  </si>
  <si>
    <t>Yield Goal</t>
  </si>
  <si>
    <t xml:space="preserve">Units of </t>
  </si>
  <si>
    <t>Cost Per</t>
  </si>
  <si>
    <t>Product</t>
  </si>
  <si>
    <t>Price</t>
  </si>
  <si>
    <t>#/Needed</t>
  </si>
  <si>
    <t>Cost/ac.</t>
  </si>
  <si>
    <t>N/ton</t>
  </si>
  <si>
    <t>Cost/Ton</t>
  </si>
  <si>
    <t>Unit of N</t>
  </si>
  <si>
    <t>MAP</t>
  </si>
  <si>
    <t>28%-UAN</t>
  </si>
  <si>
    <t>Potash</t>
  </si>
  <si>
    <t>Urea</t>
  </si>
  <si>
    <t>AMS</t>
  </si>
  <si>
    <t>Super U</t>
  </si>
  <si>
    <t>Total/Ac.</t>
  </si>
  <si>
    <t>Super Blue</t>
  </si>
  <si>
    <t>Soybeans</t>
  </si>
  <si>
    <t>Ammonia</t>
  </si>
  <si>
    <t>My Cost/Unit of N:</t>
  </si>
  <si>
    <t>Wheat</t>
  </si>
  <si>
    <t>Ohio State Custom Hire rates 2025</t>
  </si>
  <si>
    <t>Corn Machinery Costs</t>
  </si>
  <si>
    <t>Bean/Wheat Machinery Cost</t>
  </si>
  <si>
    <t>Conv. Till</t>
  </si>
  <si>
    <t>No-Till</t>
  </si>
  <si>
    <t>Chisel Plow</t>
  </si>
  <si>
    <t>Field Culivator</t>
  </si>
  <si>
    <t>Planting</t>
  </si>
  <si>
    <t>Spraying</t>
  </si>
  <si>
    <t>Harvesting</t>
  </si>
  <si>
    <t>Hauling</t>
  </si>
  <si>
    <t>To Bin</t>
  </si>
  <si>
    <t>To Town</t>
  </si>
  <si>
    <t>Misc.</t>
  </si>
  <si>
    <t>Cost per Bu. on Corn, Beans, and Wheat</t>
  </si>
  <si>
    <t>Bu./Ac. Corn Costs</t>
  </si>
  <si>
    <t>Bu./Ac. Soybean Costs</t>
  </si>
  <si>
    <t>Bu./Ac. Wheat Costs</t>
  </si>
  <si>
    <t>No-Till Corn</t>
  </si>
  <si>
    <t>No-Till Soybeans</t>
  </si>
  <si>
    <t>No-Till Wheat</t>
  </si>
  <si>
    <t>N Cost/Unit</t>
  </si>
  <si>
    <t>Land</t>
  </si>
  <si>
    <t>Machinery</t>
  </si>
  <si>
    <t>Seed</t>
  </si>
  <si>
    <t>P&amp;K Needs</t>
  </si>
  <si>
    <t>Nitrogen</t>
  </si>
  <si>
    <t>Fall Burn D.</t>
  </si>
  <si>
    <t>Spring Burn D.</t>
  </si>
  <si>
    <t>In Crop</t>
  </si>
  <si>
    <t>Fungicide</t>
  </si>
  <si>
    <t>Crop Ins.</t>
  </si>
  <si>
    <t xml:space="preserve">Bushels </t>
  </si>
  <si>
    <t xml:space="preserve">Crop Ins. </t>
  </si>
  <si>
    <t xml:space="preserve">to </t>
  </si>
  <si>
    <t>Total Cost</t>
  </si>
  <si>
    <t>Breakeven</t>
  </si>
  <si>
    <t>Cost/Bu. Prod</t>
  </si>
  <si>
    <t>Price/Del. Pt.</t>
  </si>
  <si>
    <t>Margin/Ac.</t>
  </si>
  <si>
    <t>Conv-Till Corn</t>
  </si>
  <si>
    <t>Conv-Till Soybeans</t>
  </si>
  <si>
    <t>Conv-Till Wheat</t>
  </si>
  <si>
    <t>Spring  Chem</t>
  </si>
  <si>
    <t>Spring Chem</t>
  </si>
  <si>
    <t>Crop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</si>
</sst>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 val="singleAccounting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0" xfId="2" applyFont="1"/>
    <xf numFmtId="44" fontId="1" fillId="2" borderId="0" xfId="2" applyFill="1" applyAlignment="1">
      <alignment horizontal="center"/>
    </xf>
    <xf numFmtId="43" fontId="1" fillId="2" borderId="0" xfId="1" applyFill="1" applyAlignment="1">
      <alignment horizontal="center"/>
    </xf>
    <xf numFmtId="44" fontId="0" fillId="3" borderId="5" xfId="2" applyFont="1" applyFill="1" applyBorder="1"/>
    <xf numFmtId="0" fontId="0" fillId="0" borderId="4" xfId="0" applyBorder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4" fontId="2" fillId="3" borderId="8" xfId="2" applyFont="1" applyFill="1" applyBorder="1"/>
    <xf numFmtId="0" fontId="0" fillId="0" borderId="9" xfId="0" applyBorder="1" applyAlignment="1">
      <alignment horizontal="center"/>
    </xf>
    <xf numFmtId="44" fontId="0" fillId="0" borderId="10" xfId="2" applyFont="1" applyBorder="1" applyAlignment="1">
      <alignment horizontal="center"/>
    </xf>
    <xf numFmtId="0" fontId="0" fillId="2" borderId="10" xfId="0" applyFill="1" applyBorder="1"/>
    <xf numFmtId="44" fontId="0" fillId="0" borderId="11" xfId="2" applyFont="1" applyBorder="1"/>
    <xf numFmtId="44" fontId="3" fillId="0" borderId="0" xfId="2" applyFont="1"/>
    <xf numFmtId="44" fontId="0" fillId="0" borderId="5" xfId="2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44" fontId="0" fillId="2" borderId="14" xfId="2" applyFont="1" applyFill="1" applyBorder="1"/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4" fontId="2" fillId="3" borderId="14" xfId="2" applyFont="1" applyFill="1" applyBorder="1"/>
    <xf numFmtId="43" fontId="0" fillId="0" borderId="0" xfId="1" applyFont="1"/>
    <xf numFmtId="0" fontId="4" fillId="0" borderId="0" xfId="0" applyFont="1" applyAlignment="1">
      <alignment horizontal="center"/>
    </xf>
    <xf numFmtId="44" fontId="2" fillId="0" borderId="0" xfId="2" applyFont="1"/>
    <xf numFmtId="43" fontId="0" fillId="0" borderId="2" xfId="1" applyFont="1" applyBorder="1"/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44" fontId="0" fillId="0" borderId="5" xfId="2" applyFont="1" applyBorder="1"/>
    <xf numFmtId="44" fontId="3" fillId="0" borderId="13" xfId="2" applyFont="1" applyBorder="1"/>
    <xf numFmtId="44" fontId="3" fillId="0" borderId="14" xfId="2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3" fillId="0" borderId="13" xfId="2" applyFont="1" applyBorder="1" applyAlignment="1">
      <alignment horizontal="center"/>
    </xf>
    <xf numFmtId="44" fontId="3" fillId="0" borderId="14" xfId="2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0" fillId="3" borderId="15" xfId="2" applyFont="1" applyFill="1" applyBorder="1"/>
    <xf numFmtId="43" fontId="0" fillId="3" borderId="16" xfId="0" applyNumberFormat="1" applyFill="1" applyBorder="1"/>
    <xf numFmtId="43" fontId="0" fillId="3" borderId="15" xfId="0" applyNumberFormat="1" applyFill="1" applyBorder="1" applyAlignment="1">
      <alignment horizontal="center"/>
    </xf>
    <xf numFmtId="0" fontId="0" fillId="0" borderId="16" xfId="0" applyBorder="1"/>
    <xf numFmtId="0" fontId="0" fillId="3" borderId="15" xfId="0" applyFill="1" applyBorder="1" applyAlignment="1">
      <alignment horizontal="center"/>
    </xf>
    <xf numFmtId="44" fontId="0" fillId="2" borderId="3" xfId="2" applyFont="1" applyFill="1" applyBorder="1"/>
    <xf numFmtId="164" fontId="0" fillId="0" borderId="5" xfId="3" applyNumberFormat="1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44" fontId="0" fillId="2" borderId="5" xfId="2" applyFont="1" applyFill="1" applyBorder="1"/>
    <xf numFmtId="9" fontId="0" fillId="0" borderId="0" xfId="3" applyFont="1"/>
    <xf numFmtId="43" fontId="0" fillId="0" borderId="5" xfId="0" applyNumberFormat="1" applyBorder="1"/>
    <xf numFmtId="43" fontId="0" fillId="0" borderId="17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4" fontId="0" fillId="3" borderId="14" xfId="0" applyNumberFormat="1" applyFill="1" applyBorder="1"/>
    <xf numFmtId="44" fontId="0" fillId="3" borderId="3" xfId="0" applyNumberFormat="1" applyFill="1" applyBorder="1"/>
    <xf numFmtId="43" fontId="3" fillId="3" borderId="19" xfId="1" applyFont="1" applyFill="1" applyBorder="1" applyAlignment="1">
      <alignment horizontal="center"/>
    </xf>
    <xf numFmtId="43" fontId="0" fillId="0" borderId="0" xfId="0" applyNumberFormat="1"/>
    <xf numFmtId="0" fontId="0" fillId="0" borderId="15" xfId="0" applyBorder="1"/>
    <xf numFmtId="44" fontId="2" fillId="3" borderId="16" xfId="2" applyFont="1" applyFill="1" applyBorder="1"/>
    <xf numFmtId="0" fontId="0" fillId="0" borderId="14" xfId="0" applyBorder="1"/>
    <xf numFmtId="44" fontId="5" fillId="3" borderId="16" xfId="2" applyFont="1" applyFill="1" applyBorder="1"/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5" xfId="0" applyNumberFormat="1" applyBorder="1" applyAlignment="1">
      <alignment horizontal="center"/>
    </xf>
    <xf numFmtId="0" fontId="0" fillId="0" borderId="19" xfId="0" applyBorder="1"/>
    <xf numFmtId="9" fontId="0" fillId="0" borderId="14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6604-19FD-4040-813E-AA83E4DADFFA}">
  <dimension ref="A1:V71"/>
  <sheetViews>
    <sheetView tabSelected="1" workbookViewId="0">
      <selection activeCell="E11" sqref="E11"/>
    </sheetView>
  </sheetViews>
  <sheetFormatPr defaultRowHeight="14.4" x14ac:dyDescent="0.3"/>
  <cols>
    <col min="1" max="1" width="13.5546875" customWidth="1"/>
    <col min="2" max="2" width="12.5546875" customWidth="1"/>
    <col min="3" max="3" width="10.88671875" customWidth="1"/>
    <col min="4" max="4" width="9.6640625" customWidth="1"/>
    <col min="5" max="5" width="12.44140625" customWidth="1"/>
    <col min="6" max="6" width="13" customWidth="1"/>
    <col min="7" max="7" width="12.5546875" style="1" bestFit="1" customWidth="1"/>
    <col min="8" max="8" width="10.44140625" style="1" bestFit="1" customWidth="1"/>
    <col min="9" max="9" width="12.44140625" customWidth="1"/>
    <col min="10" max="10" width="10.109375" customWidth="1"/>
    <col min="11" max="11" width="11.5546875" bestFit="1" customWidth="1"/>
    <col min="14" max="14" width="19.33203125" bestFit="1" customWidth="1"/>
    <col min="15" max="15" width="12.33203125" bestFit="1" customWidth="1"/>
    <col min="16" max="16" width="11.33203125" bestFit="1" customWidth="1"/>
    <col min="18" max="18" width="11.44140625" bestFit="1" customWidth="1"/>
    <col min="19" max="20" width="11.33203125" bestFit="1" customWidth="1"/>
    <col min="24" max="24" width="11.44140625" bestFit="1" customWidth="1"/>
    <col min="27" max="27" width="9.44140625" bestFit="1" customWidth="1"/>
  </cols>
  <sheetData>
    <row r="1" spans="1:22" ht="15" thickBot="1" x14ac:dyDescent="0.35"/>
    <row r="2" spans="1:22" x14ac:dyDescent="0.3">
      <c r="A2" s="2" t="s">
        <v>0</v>
      </c>
      <c r="B2" s="3" t="s">
        <v>1</v>
      </c>
      <c r="C2" s="4">
        <v>200</v>
      </c>
      <c r="D2" s="5"/>
      <c r="F2" s="6"/>
      <c r="G2" s="7" t="s">
        <v>2</v>
      </c>
      <c r="H2" s="7"/>
      <c r="I2" s="5" t="s">
        <v>3</v>
      </c>
      <c r="P2" s="8"/>
    </row>
    <row r="3" spans="1:22" x14ac:dyDescent="0.3">
      <c r="A3" s="9" t="s">
        <v>4</v>
      </c>
      <c r="B3" s="10" t="s">
        <v>5</v>
      </c>
      <c r="C3" s="11" t="s">
        <v>6</v>
      </c>
      <c r="D3" s="12" t="s">
        <v>7</v>
      </c>
      <c r="F3" s="9" t="s">
        <v>4</v>
      </c>
      <c r="G3" s="1" t="s">
        <v>8</v>
      </c>
      <c r="H3" s="1" t="s">
        <v>9</v>
      </c>
      <c r="I3" s="13" t="s">
        <v>10</v>
      </c>
      <c r="J3" s="1"/>
      <c r="K3" s="1"/>
      <c r="O3" s="14"/>
      <c r="P3" s="8"/>
    </row>
    <row r="4" spans="1:22" x14ac:dyDescent="0.3">
      <c r="A4" s="9" t="s">
        <v>11</v>
      </c>
      <c r="B4" s="15">
        <v>955</v>
      </c>
      <c r="C4" s="16">
        <f>SUM((C2*0.37)/0.52)</f>
        <v>142.30769230769229</v>
      </c>
      <c r="D4" s="17">
        <f>SUM(B4/2000)*C4</f>
        <v>67.951923076923066</v>
      </c>
      <c r="F4" s="18" t="s">
        <v>12</v>
      </c>
      <c r="G4">
        <v>560</v>
      </c>
      <c r="H4" s="14">
        <v>415</v>
      </c>
      <c r="I4" s="19">
        <f>SUM(H4/G4)</f>
        <v>0.7410714285714286</v>
      </c>
      <c r="J4" s="1"/>
      <c r="K4" s="1"/>
      <c r="O4" s="14"/>
      <c r="P4" s="8"/>
      <c r="S4" s="14"/>
    </row>
    <row r="5" spans="1:22" x14ac:dyDescent="0.3">
      <c r="A5" s="9" t="s">
        <v>13</v>
      </c>
      <c r="B5" s="15">
        <v>467.5</v>
      </c>
      <c r="C5" s="16">
        <f>SUM(C2*0.27)/0.6</f>
        <v>90</v>
      </c>
      <c r="D5" s="17">
        <f>SUM(B5/2000)*C5</f>
        <v>21.037500000000001</v>
      </c>
      <c r="F5" s="18" t="s">
        <v>14</v>
      </c>
      <c r="G5">
        <v>920</v>
      </c>
      <c r="H5" s="14">
        <v>615</v>
      </c>
      <c r="I5" s="19">
        <f>SUM(H5/G5)</f>
        <v>0.66847826086956519</v>
      </c>
      <c r="J5" s="11"/>
      <c r="K5" s="20"/>
      <c r="O5" s="14"/>
      <c r="P5" s="8"/>
      <c r="T5" s="14"/>
      <c r="V5" s="14"/>
    </row>
    <row r="6" spans="1:22" x14ac:dyDescent="0.3">
      <c r="A6" s="9" t="s">
        <v>15</v>
      </c>
      <c r="B6" s="15">
        <v>477.5</v>
      </c>
      <c r="C6" s="16">
        <v>75</v>
      </c>
      <c r="D6" s="17">
        <f>SUM(B6/2000)*C6</f>
        <v>17.90625</v>
      </c>
      <c r="F6" s="18" t="s">
        <v>16</v>
      </c>
      <c r="G6">
        <v>920</v>
      </c>
      <c r="H6" s="14">
        <v>0</v>
      </c>
      <c r="I6" s="19">
        <f>SUM(H6/G6)</f>
        <v>0</v>
      </c>
      <c r="J6" s="11"/>
      <c r="K6" s="20"/>
      <c r="O6" s="14"/>
      <c r="P6" s="8"/>
      <c r="S6" s="14"/>
      <c r="T6" s="14"/>
    </row>
    <row r="7" spans="1:22" ht="17.399999999999999" x14ac:dyDescent="0.55000000000000004">
      <c r="A7" s="21"/>
      <c r="B7" s="22"/>
      <c r="C7" s="23" t="s">
        <v>17</v>
      </c>
      <c r="D7" s="24">
        <f>SUM(D4:D6)+4</f>
        <v>110.89567307692306</v>
      </c>
      <c r="F7" s="18" t="s">
        <v>18</v>
      </c>
      <c r="G7">
        <v>360</v>
      </c>
      <c r="H7" s="14">
        <v>0</v>
      </c>
      <c r="I7" s="19">
        <f>SUM(H7/G7)</f>
        <v>0</v>
      </c>
      <c r="J7" s="11"/>
      <c r="K7" s="20"/>
      <c r="O7" s="14"/>
      <c r="P7" s="8"/>
      <c r="T7" s="14"/>
    </row>
    <row r="8" spans="1:22" x14ac:dyDescent="0.3">
      <c r="A8" s="25" t="s">
        <v>19</v>
      </c>
      <c r="B8" s="26" t="s">
        <v>1</v>
      </c>
      <c r="C8" s="27">
        <v>60</v>
      </c>
      <c r="D8" s="28"/>
      <c r="F8" s="18" t="s">
        <v>20</v>
      </c>
      <c r="G8">
        <v>1640</v>
      </c>
      <c r="H8" s="14">
        <v>860</v>
      </c>
      <c r="I8" s="19">
        <f>SUM(H8/G8)</f>
        <v>0.52439024390243905</v>
      </c>
      <c r="J8" s="11"/>
      <c r="K8" s="20"/>
      <c r="T8" s="29"/>
    </row>
    <row r="9" spans="1:22" ht="15" thickBot="1" x14ac:dyDescent="0.35">
      <c r="A9" s="9" t="s">
        <v>4</v>
      </c>
      <c r="B9" s="10" t="s">
        <v>5</v>
      </c>
      <c r="C9" s="11" t="s">
        <v>6</v>
      </c>
      <c r="D9" s="30" t="s">
        <v>7</v>
      </c>
      <c r="F9" s="31"/>
      <c r="G9" s="32" t="s">
        <v>21</v>
      </c>
      <c r="H9" s="32"/>
      <c r="I9" s="33">
        <v>0.65</v>
      </c>
      <c r="J9" s="11"/>
      <c r="K9" s="20"/>
    </row>
    <row r="10" spans="1:22" x14ac:dyDescent="0.3">
      <c r="A10" s="9" t="s">
        <v>11</v>
      </c>
      <c r="B10" s="15">
        <f>B4</f>
        <v>955</v>
      </c>
      <c r="C10" s="16">
        <f>SUM(C8*0.8)/0.52</f>
        <v>92.307692307692307</v>
      </c>
      <c r="D10" s="17">
        <f>SUM(B10/2000)*C10</f>
        <v>44.076923076923073</v>
      </c>
      <c r="H10" s="11"/>
      <c r="I10" s="11"/>
      <c r="J10" s="11"/>
      <c r="K10" s="20"/>
    </row>
    <row r="11" spans="1:22" x14ac:dyDescent="0.3">
      <c r="A11" s="9" t="s">
        <v>13</v>
      </c>
      <c r="B11" s="15">
        <f>B5</f>
        <v>467.5</v>
      </c>
      <c r="C11" s="16">
        <f>SUM(C8*1.4)/0.6</f>
        <v>140</v>
      </c>
      <c r="D11" s="17">
        <f>SUM(B11/2000)*C11</f>
        <v>32.725000000000001</v>
      </c>
      <c r="E11" s="14"/>
      <c r="H11" s="11"/>
      <c r="I11" s="11"/>
      <c r="J11" s="11"/>
      <c r="K11" s="20"/>
    </row>
    <row r="12" spans="1:22" ht="18" thickBot="1" x14ac:dyDescent="0.6">
      <c r="A12" s="34"/>
      <c r="B12" s="35"/>
      <c r="C12" s="32" t="s">
        <v>17</v>
      </c>
      <c r="D12" s="36">
        <f>SUM(D10:D11)+4</f>
        <v>80.801923076923075</v>
      </c>
      <c r="E12" s="11"/>
      <c r="H12" s="11"/>
      <c r="I12" s="11"/>
      <c r="J12" s="11"/>
      <c r="K12" s="20"/>
    </row>
    <row r="13" spans="1:22" x14ac:dyDescent="0.3">
      <c r="A13" s="25" t="s">
        <v>22</v>
      </c>
      <c r="B13" s="26" t="s">
        <v>1</v>
      </c>
      <c r="C13" s="27">
        <v>80</v>
      </c>
      <c r="D13" s="28"/>
      <c r="E13" s="11"/>
      <c r="H13" s="11"/>
      <c r="I13" s="11"/>
      <c r="J13" s="11"/>
      <c r="K13" s="20"/>
    </row>
    <row r="14" spans="1:22" x14ac:dyDescent="0.3">
      <c r="A14" s="9" t="s">
        <v>4</v>
      </c>
      <c r="B14" s="10" t="s">
        <v>5</v>
      </c>
      <c r="C14" s="11" t="s">
        <v>6</v>
      </c>
      <c r="D14" s="30" t="s">
        <v>7</v>
      </c>
      <c r="E14" s="11"/>
      <c r="H14" s="11"/>
      <c r="I14" s="11"/>
      <c r="J14" s="11"/>
      <c r="K14" s="20"/>
    </row>
    <row r="15" spans="1:22" x14ac:dyDescent="0.3">
      <c r="A15" s="9" t="s">
        <v>11</v>
      </c>
      <c r="B15" s="15">
        <f>B4</f>
        <v>955</v>
      </c>
      <c r="C15" s="16">
        <f>SUM(C13*0.63)/0.52</f>
        <v>96.92307692307692</v>
      </c>
      <c r="D15" s="17">
        <f>SUM(B15/2000)*C15</f>
        <v>46.280769230769231</v>
      </c>
      <c r="E15" s="11"/>
    </row>
    <row r="16" spans="1:22" x14ac:dyDescent="0.3">
      <c r="A16" s="9" t="s">
        <v>13</v>
      </c>
      <c r="B16" s="15">
        <f>B5</f>
        <v>467.5</v>
      </c>
      <c r="C16" s="16">
        <f>SUM(C13*0.37)/0.6</f>
        <v>49.333333333333336</v>
      </c>
      <c r="D16" s="17">
        <f>SUM(B16/2000)*C16</f>
        <v>11.531666666666668</v>
      </c>
      <c r="E16" s="11"/>
    </row>
    <row r="17" spans="1:11" x14ac:dyDescent="0.3">
      <c r="A17" s="9" t="s">
        <v>15</v>
      </c>
      <c r="B17" s="15">
        <f>B6</f>
        <v>477.5</v>
      </c>
      <c r="C17" s="16">
        <v>30</v>
      </c>
      <c r="D17" s="17">
        <f>SUM(B17/2000)*C17</f>
        <v>7.1624999999999996</v>
      </c>
      <c r="E17" s="11"/>
    </row>
    <row r="18" spans="1:11" ht="18" thickBot="1" x14ac:dyDescent="0.6">
      <c r="A18" s="34"/>
      <c r="B18" s="35"/>
      <c r="C18" s="32" t="s">
        <v>17</v>
      </c>
      <c r="D18" s="36">
        <f>SUM(D15:D17)+4</f>
        <v>68.974935897435898</v>
      </c>
    </row>
    <row r="19" spans="1:11" ht="18" thickBot="1" x14ac:dyDescent="0.6">
      <c r="A19" s="1"/>
      <c r="B19" s="37"/>
      <c r="C19" s="37"/>
      <c r="D19" s="37"/>
      <c r="F19" s="38" t="s">
        <v>23</v>
      </c>
      <c r="G19" s="11"/>
      <c r="H19" s="11"/>
      <c r="J19" s="39"/>
    </row>
    <row r="20" spans="1:11" x14ac:dyDescent="0.3">
      <c r="A20" s="2"/>
      <c r="B20" s="40"/>
      <c r="C20" s="41" t="s">
        <v>24</v>
      </c>
      <c r="D20" s="40"/>
      <c r="E20" s="5"/>
      <c r="G20" s="42"/>
      <c r="H20" s="41"/>
      <c r="I20" s="43" t="s">
        <v>25</v>
      </c>
      <c r="J20" s="7"/>
      <c r="K20" s="5"/>
    </row>
    <row r="21" spans="1:11" x14ac:dyDescent="0.3">
      <c r="A21" s="18"/>
      <c r="D21" t="s">
        <v>26</v>
      </c>
      <c r="E21" s="44" t="s">
        <v>27</v>
      </c>
      <c r="G21" s="9"/>
      <c r="J21" t="s">
        <v>26</v>
      </c>
      <c r="K21" s="44" t="s">
        <v>27</v>
      </c>
    </row>
    <row r="22" spans="1:11" x14ac:dyDescent="0.3">
      <c r="A22" s="18" t="s">
        <v>28</v>
      </c>
      <c r="D22" s="14">
        <v>25.28</v>
      </c>
      <c r="E22" s="45"/>
      <c r="G22" s="18" t="s">
        <v>28</v>
      </c>
      <c r="J22" s="14">
        <f>D22</f>
        <v>25.28</v>
      </c>
      <c r="K22" s="45"/>
    </row>
    <row r="23" spans="1:11" x14ac:dyDescent="0.3">
      <c r="A23" s="18" t="s">
        <v>29</v>
      </c>
      <c r="D23" s="14">
        <v>21.65</v>
      </c>
      <c r="E23" s="45"/>
      <c r="G23" s="18" t="s">
        <v>29</v>
      </c>
      <c r="J23" s="14">
        <f>D23</f>
        <v>21.65</v>
      </c>
      <c r="K23" s="45"/>
    </row>
    <row r="24" spans="1:11" x14ac:dyDescent="0.3">
      <c r="A24" s="18" t="s">
        <v>30</v>
      </c>
      <c r="D24" s="14">
        <v>24.77</v>
      </c>
      <c r="E24" s="45">
        <v>24.77</v>
      </c>
      <c r="G24" s="18" t="s">
        <v>30</v>
      </c>
      <c r="J24" s="14">
        <f>D24</f>
        <v>24.77</v>
      </c>
      <c r="K24" s="45">
        <f>J24</f>
        <v>24.77</v>
      </c>
    </row>
    <row r="25" spans="1:11" x14ac:dyDescent="0.3">
      <c r="A25" s="18" t="s">
        <v>31</v>
      </c>
      <c r="D25" s="14">
        <v>12.5</v>
      </c>
      <c r="E25" s="45">
        <f>D25</f>
        <v>12.5</v>
      </c>
      <c r="G25" s="18" t="s">
        <v>31</v>
      </c>
      <c r="J25" s="14">
        <f>D25</f>
        <v>12.5</v>
      </c>
      <c r="K25" s="45">
        <f>J25</f>
        <v>12.5</v>
      </c>
    </row>
    <row r="26" spans="1:11" x14ac:dyDescent="0.3">
      <c r="A26" s="18" t="s">
        <v>31</v>
      </c>
      <c r="D26" s="14"/>
      <c r="E26" s="45">
        <v>12.5</v>
      </c>
      <c r="G26" s="18" t="s">
        <v>31</v>
      </c>
      <c r="J26" s="14"/>
      <c r="K26" s="45">
        <f>K25</f>
        <v>12.5</v>
      </c>
    </row>
    <row r="27" spans="1:11" x14ac:dyDescent="0.3">
      <c r="A27" s="18" t="s">
        <v>32</v>
      </c>
      <c r="D27" s="14">
        <v>38.799999999999997</v>
      </c>
      <c r="E27" s="45">
        <f>D27</f>
        <v>38.799999999999997</v>
      </c>
      <c r="G27" s="18" t="s">
        <v>32</v>
      </c>
      <c r="J27" s="14">
        <f>D27</f>
        <v>38.799999999999997</v>
      </c>
      <c r="K27" s="45">
        <f>J27</f>
        <v>38.799999999999997</v>
      </c>
    </row>
    <row r="28" spans="1:11" x14ac:dyDescent="0.3">
      <c r="A28" s="18" t="s">
        <v>33</v>
      </c>
      <c r="B28" t="s">
        <v>34</v>
      </c>
      <c r="D28" s="14">
        <f>C28*C2</f>
        <v>0</v>
      </c>
      <c r="E28" s="45">
        <f>D28</f>
        <v>0</v>
      </c>
      <c r="G28" s="18" t="s">
        <v>33</v>
      </c>
      <c r="H28" t="s">
        <v>34</v>
      </c>
      <c r="J28" s="10">
        <f>I28*C8</f>
        <v>0</v>
      </c>
      <c r="K28" s="45">
        <f>I28*C8</f>
        <v>0</v>
      </c>
    </row>
    <row r="29" spans="1:11" x14ac:dyDescent="0.3">
      <c r="A29" s="18" t="s">
        <v>33</v>
      </c>
      <c r="B29" t="s">
        <v>35</v>
      </c>
      <c r="C29">
        <v>0.25</v>
      </c>
      <c r="D29" s="14">
        <f>C29*C2</f>
        <v>50</v>
      </c>
      <c r="E29" s="45">
        <f>D29</f>
        <v>50</v>
      </c>
      <c r="G29" s="18" t="s">
        <v>33</v>
      </c>
      <c r="H29" t="s">
        <v>35</v>
      </c>
      <c r="I29">
        <f>C29</f>
        <v>0.25</v>
      </c>
      <c r="J29" s="10">
        <f>I29*C8</f>
        <v>15</v>
      </c>
      <c r="K29" s="45">
        <f>I29*C8</f>
        <v>15</v>
      </c>
    </row>
    <row r="30" spans="1:11" x14ac:dyDescent="0.3">
      <c r="A30" s="18" t="s">
        <v>36</v>
      </c>
      <c r="D30" s="14">
        <v>45</v>
      </c>
      <c r="E30" s="45">
        <f>D30</f>
        <v>45</v>
      </c>
      <c r="G30" s="18" t="s">
        <v>36</v>
      </c>
      <c r="J30" s="14">
        <f>D30</f>
        <v>45</v>
      </c>
      <c r="K30" s="45">
        <f>J30</f>
        <v>45</v>
      </c>
    </row>
    <row r="31" spans="1:11" ht="15" thickBot="1" x14ac:dyDescent="0.35">
      <c r="A31" s="31"/>
      <c r="B31" s="32"/>
      <c r="C31" s="32"/>
      <c r="D31" s="46">
        <f>SUM(D22:D30)</f>
        <v>218</v>
      </c>
      <c r="E31" s="47">
        <f>SUM(E22:E30)</f>
        <v>183.57</v>
      </c>
      <c r="G31" s="48"/>
      <c r="H31" s="49"/>
      <c r="I31" s="32"/>
      <c r="J31" s="50">
        <f>SUM(J22:J30)</f>
        <v>183</v>
      </c>
      <c r="K31" s="51">
        <f>SUM(K22:K30)</f>
        <v>148.57</v>
      </c>
    </row>
    <row r="33" spans="1:19" x14ac:dyDescent="0.3">
      <c r="F33" s="1" t="s">
        <v>37</v>
      </c>
    </row>
    <row r="34" spans="1:19" ht="15" thickBot="1" x14ac:dyDescent="0.35">
      <c r="H34"/>
    </row>
    <row r="35" spans="1:19" x14ac:dyDescent="0.3">
      <c r="A35" s="6" t="s">
        <v>38</v>
      </c>
      <c r="B35" s="7"/>
      <c r="C35" s="5"/>
      <c r="D35" s="5"/>
      <c r="E35" s="52" t="s">
        <v>39</v>
      </c>
      <c r="F35" s="7"/>
      <c r="G35" s="53"/>
      <c r="H35" s="54"/>
      <c r="I35" s="52" t="s">
        <v>40</v>
      </c>
      <c r="J35" s="7"/>
      <c r="K35" s="53"/>
      <c r="L35" s="5"/>
    </row>
    <row r="36" spans="1:19" ht="15" thickBot="1" x14ac:dyDescent="0.35">
      <c r="A36" s="18"/>
      <c r="B36" s="55" t="s">
        <v>41</v>
      </c>
      <c r="C36" s="44"/>
      <c r="D36" s="44"/>
      <c r="E36" s="9"/>
      <c r="F36" s="56" t="s">
        <v>42</v>
      </c>
      <c r="G36" s="44"/>
      <c r="H36" s="13"/>
      <c r="I36" s="9"/>
      <c r="J36" s="56" t="s">
        <v>43</v>
      </c>
      <c r="K36" s="44"/>
      <c r="L36" s="44"/>
      <c r="P36" s="14"/>
      <c r="Q36" s="14"/>
      <c r="R36" s="14"/>
    </row>
    <row r="37" spans="1:19" ht="15" thickBot="1" x14ac:dyDescent="0.35">
      <c r="A37" s="18" t="s">
        <v>44</v>
      </c>
      <c r="B37" s="57">
        <f>I9</f>
        <v>0.65</v>
      </c>
      <c r="C37" s="58">
        <f>A38*1.1</f>
        <v>220.00000000000003</v>
      </c>
      <c r="D37" s="44"/>
      <c r="E37" s="9"/>
      <c r="G37" s="44"/>
      <c r="H37" s="13"/>
      <c r="I37" s="9"/>
      <c r="K37" s="44"/>
      <c r="L37" s="44"/>
      <c r="P37" s="14"/>
      <c r="Q37" s="14"/>
      <c r="R37" s="14"/>
    </row>
    <row r="38" spans="1:19" ht="15" thickBot="1" x14ac:dyDescent="0.35">
      <c r="A38" s="59">
        <f>C2</f>
        <v>200</v>
      </c>
      <c r="B38" s="60" t="s">
        <v>1</v>
      </c>
      <c r="C38" s="5"/>
      <c r="D38" s="44"/>
      <c r="E38" s="61">
        <f>C8</f>
        <v>60</v>
      </c>
      <c r="F38" s="60" t="s">
        <v>1</v>
      </c>
      <c r="G38" s="44"/>
      <c r="H38" s="13"/>
      <c r="I38" s="61">
        <f>C13</f>
        <v>80</v>
      </c>
      <c r="J38" s="60" t="s">
        <v>1</v>
      </c>
      <c r="K38" s="44"/>
      <c r="L38" s="44"/>
      <c r="P38" s="14"/>
      <c r="Q38" s="14"/>
      <c r="R38" s="14"/>
    </row>
    <row r="39" spans="1:19" x14ac:dyDescent="0.3">
      <c r="A39" s="6" t="s">
        <v>45</v>
      </c>
      <c r="B39" s="62">
        <v>200</v>
      </c>
      <c r="C39" s="44"/>
      <c r="D39" s="63">
        <f t="shared" ref="D39:D49" si="0">SUM(B39/$B$50)</f>
        <v>0.21334114490140818</v>
      </c>
      <c r="E39" s="6" t="s">
        <v>45</v>
      </c>
      <c r="F39" s="62">
        <f>B39</f>
        <v>200</v>
      </c>
      <c r="G39" s="44"/>
      <c r="H39" s="64">
        <f t="shared" ref="H39:H49" si="1">SUM(F39/$F$50)</f>
        <v>0.2903297308252567</v>
      </c>
      <c r="I39" s="6" t="s">
        <v>45</v>
      </c>
      <c r="J39" s="62">
        <f>B39</f>
        <v>200</v>
      </c>
      <c r="K39" s="44"/>
      <c r="L39" s="64">
        <f t="shared" ref="L39:L49" si="2">SUM(J39/$J$50)</f>
        <v>0.29817593737387854</v>
      </c>
      <c r="P39" s="14"/>
      <c r="Q39" s="14"/>
      <c r="R39" s="14"/>
      <c r="S39" s="8"/>
    </row>
    <row r="40" spans="1:19" x14ac:dyDescent="0.3">
      <c r="A40" s="18" t="s">
        <v>46</v>
      </c>
      <c r="B40" s="17">
        <f>E31</f>
        <v>183.57</v>
      </c>
      <c r="C40" s="44"/>
      <c r="D40" s="63">
        <f t="shared" si="0"/>
        <v>0.19581516984775749</v>
      </c>
      <c r="E40" s="18" t="s">
        <v>46</v>
      </c>
      <c r="F40" s="17">
        <f>K31</f>
        <v>148.57</v>
      </c>
      <c r="G40" s="44"/>
      <c r="H40" s="64">
        <f t="shared" si="1"/>
        <v>0.21567144054354193</v>
      </c>
      <c r="I40" s="18" t="s">
        <v>46</v>
      </c>
      <c r="J40" s="17">
        <f>K31</f>
        <v>148.57</v>
      </c>
      <c r="K40" s="44"/>
      <c r="L40" s="64">
        <f t="shared" si="2"/>
        <v>0.22149999507818566</v>
      </c>
      <c r="Q40" s="8"/>
    </row>
    <row r="41" spans="1:19" x14ac:dyDescent="0.3">
      <c r="A41" s="18" t="s">
        <v>47</v>
      </c>
      <c r="B41" s="65">
        <v>120</v>
      </c>
      <c r="C41" s="44"/>
      <c r="D41" s="63">
        <f t="shared" si="0"/>
        <v>0.12800468694084491</v>
      </c>
      <c r="E41" s="18" t="s">
        <v>47</v>
      </c>
      <c r="F41" s="65">
        <v>62</v>
      </c>
      <c r="G41" s="44"/>
      <c r="H41" s="64">
        <f t="shared" si="1"/>
        <v>9.0002216555829573E-2</v>
      </c>
      <c r="I41" s="18" t="s">
        <v>47</v>
      </c>
      <c r="J41" s="65">
        <v>66</v>
      </c>
      <c r="K41" s="44"/>
      <c r="L41" s="64">
        <f t="shared" si="2"/>
        <v>9.8398059333379903E-2</v>
      </c>
    </row>
    <row r="42" spans="1:19" x14ac:dyDescent="0.3">
      <c r="A42" s="18" t="s">
        <v>48</v>
      </c>
      <c r="B42" s="17">
        <f>D7</f>
        <v>110.89567307692306</v>
      </c>
      <c r="C42" s="44"/>
      <c r="D42" s="63">
        <f t="shared" si="0"/>
        <v>0.11829304929421516</v>
      </c>
      <c r="E42" s="18" t="s">
        <v>48</v>
      </c>
      <c r="F42" s="17">
        <f>D12</f>
        <v>80.801923076923075</v>
      </c>
      <c r="G42" s="44"/>
      <c r="H42" s="64">
        <f t="shared" si="1"/>
        <v>0.11729600288543086</v>
      </c>
      <c r="I42" s="18" t="s">
        <v>48</v>
      </c>
      <c r="J42" s="17">
        <f>D18</f>
        <v>68.974935897435898</v>
      </c>
      <c r="K42" s="44"/>
      <c r="L42" s="64">
        <f t="shared" si="2"/>
        <v>0.10283333083260565</v>
      </c>
      <c r="P42" s="14"/>
      <c r="Q42" s="66"/>
      <c r="R42" s="8"/>
    </row>
    <row r="43" spans="1:19" x14ac:dyDescent="0.3">
      <c r="A43" s="18" t="s">
        <v>49</v>
      </c>
      <c r="B43" s="17">
        <f>(A38*B37)*1.1</f>
        <v>143</v>
      </c>
      <c r="C43" s="67"/>
      <c r="D43" s="63">
        <f t="shared" si="0"/>
        <v>0.15253891860450686</v>
      </c>
      <c r="E43" s="18" t="s">
        <v>49</v>
      </c>
      <c r="F43" s="17">
        <f>(E38*F37)*1.1</f>
        <v>0</v>
      </c>
      <c r="G43" s="44"/>
      <c r="H43" s="64">
        <f t="shared" si="1"/>
        <v>0</v>
      </c>
      <c r="I43" s="18" t="s">
        <v>49</v>
      </c>
      <c r="J43" s="17">
        <f>I38*1.1*I9</f>
        <v>57.2</v>
      </c>
      <c r="K43" s="44"/>
      <c r="L43" s="64">
        <f t="shared" si="2"/>
        <v>8.5278318088929259E-2</v>
      </c>
      <c r="R43" s="14"/>
    </row>
    <row r="44" spans="1:19" x14ac:dyDescent="0.3">
      <c r="A44" s="18" t="s">
        <v>50</v>
      </c>
      <c r="B44" s="65">
        <v>0</v>
      </c>
      <c r="C44" s="67"/>
      <c r="D44" s="63">
        <f t="shared" si="0"/>
        <v>0</v>
      </c>
      <c r="E44" s="18" t="s">
        <v>50</v>
      </c>
      <c r="F44" s="65">
        <v>20</v>
      </c>
      <c r="G44" s="44"/>
      <c r="H44" s="64">
        <f t="shared" si="1"/>
        <v>2.9032973082525667E-2</v>
      </c>
      <c r="I44" s="18" t="s">
        <v>50</v>
      </c>
      <c r="J44" s="65">
        <v>25</v>
      </c>
      <c r="K44" s="44"/>
      <c r="L44" s="64">
        <f t="shared" si="2"/>
        <v>3.7271992171734818E-2</v>
      </c>
      <c r="R44" s="8"/>
    </row>
    <row r="45" spans="1:19" x14ac:dyDescent="0.3">
      <c r="A45" s="18" t="s">
        <v>51</v>
      </c>
      <c r="B45" s="65">
        <v>60</v>
      </c>
      <c r="C45" s="67"/>
      <c r="D45" s="63">
        <f t="shared" si="0"/>
        <v>6.4002343470422454E-2</v>
      </c>
      <c r="E45" s="18" t="s">
        <v>51</v>
      </c>
      <c r="F45" s="65">
        <v>42.5</v>
      </c>
      <c r="G45" s="44"/>
      <c r="H45" s="64">
        <f t="shared" si="1"/>
        <v>6.1695067800367043E-2</v>
      </c>
      <c r="I45" s="18" t="s">
        <v>51</v>
      </c>
      <c r="J45" s="65"/>
      <c r="K45" s="44"/>
      <c r="L45" s="64">
        <f t="shared" si="2"/>
        <v>0</v>
      </c>
    </row>
    <row r="46" spans="1:19" x14ac:dyDescent="0.3">
      <c r="A46" s="18" t="s">
        <v>52</v>
      </c>
      <c r="B46" s="65"/>
      <c r="C46" s="67"/>
      <c r="D46" s="63">
        <f t="shared" si="0"/>
        <v>0</v>
      </c>
      <c r="E46" s="18" t="s">
        <v>52</v>
      </c>
      <c r="F46" s="65">
        <v>45</v>
      </c>
      <c r="G46" s="44"/>
      <c r="H46" s="64">
        <f t="shared" si="1"/>
        <v>6.5324189435682758E-2</v>
      </c>
      <c r="I46" s="18" t="s">
        <v>52</v>
      </c>
      <c r="J46" s="65">
        <v>15</v>
      </c>
      <c r="K46" s="44"/>
      <c r="L46" s="64">
        <f t="shared" si="2"/>
        <v>2.236319530304089E-2</v>
      </c>
    </row>
    <row r="47" spans="1:19" ht="15" thickBot="1" x14ac:dyDescent="0.35">
      <c r="A47" s="18" t="s">
        <v>53</v>
      </c>
      <c r="B47" s="65">
        <v>30</v>
      </c>
      <c r="C47" s="44"/>
      <c r="D47" s="63">
        <f t="shared" si="0"/>
        <v>3.2001171735211227E-2</v>
      </c>
      <c r="E47" s="18" t="s">
        <v>53</v>
      </c>
      <c r="F47" s="65">
        <v>25</v>
      </c>
      <c r="G47" s="13"/>
      <c r="H47" s="64">
        <f t="shared" si="1"/>
        <v>3.6291216353157088E-2</v>
      </c>
      <c r="I47" s="18" t="s">
        <v>53</v>
      </c>
      <c r="J47" s="65">
        <v>30</v>
      </c>
      <c r="K47" s="44"/>
      <c r="L47" s="64">
        <f t="shared" si="2"/>
        <v>4.472639060608178E-2</v>
      </c>
    </row>
    <row r="48" spans="1:19" x14ac:dyDescent="0.3">
      <c r="A48" s="18" t="s">
        <v>54</v>
      </c>
      <c r="B48" s="65">
        <v>35</v>
      </c>
      <c r="C48" s="68" t="s">
        <v>55</v>
      </c>
      <c r="D48" s="63">
        <f t="shared" si="0"/>
        <v>3.7334700357746435E-2</v>
      </c>
      <c r="E48" s="18" t="s">
        <v>54</v>
      </c>
      <c r="F48" s="65">
        <v>25</v>
      </c>
      <c r="G48" s="68" t="s">
        <v>55</v>
      </c>
      <c r="H48" s="64">
        <f t="shared" si="1"/>
        <v>3.6291216353157088E-2</v>
      </c>
      <c r="I48" s="18" t="s">
        <v>56</v>
      </c>
      <c r="J48" s="65">
        <v>20</v>
      </c>
      <c r="K48" s="68" t="s">
        <v>55</v>
      </c>
      <c r="L48" s="64">
        <f t="shared" si="2"/>
        <v>2.9817593737387852E-2</v>
      </c>
    </row>
    <row r="49" spans="1:16" x14ac:dyDescent="0.3">
      <c r="A49" s="18" t="s">
        <v>36</v>
      </c>
      <c r="B49" s="65">
        <v>55</v>
      </c>
      <c r="C49" s="69" t="s">
        <v>57</v>
      </c>
      <c r="D49" s="63">
        <f t="shared" si="0"/>
        <v>5.8668814847887253E-2</v>
      </c>
      <c r="E49" s="18" t="s">
        <v>36</v>
      </c>
      <c r="F49" s="65">
        <v>40</v>
      </c>
      <c r="G49" s="69" t="s">
        <v>57</v>
      </c>
      <c r="H49" s="64">
        <f t="shared" si="1"/>
        <v>5.8065946165051334E-2</v>
      </c>
      <c r="I49" s="18" t="s">
        <v>36</v>
      </c>
      <c r="J49" s="65">
        <v>40</v>
      </c>
      <c r="K49" s="69" t="s">
        <v>57</v>
      </c>
      <c r="L49" s="64">
        <f t="shared" si="2"/>
        <v>5.9635187474775704E-2</v>
      </c>
    </row>
    <row r="50" spans="1:16" ht="15" thickBot="1" x14ac:dyDescent="0.35">
      <c r="A50" s="31" t="s">
        <v>58</v>
      </c>
      <c r="B50" s="70">
        <f>SUM(B39:B49)</f>
        <v>937.46567307692305</v>
      </c>
      <c r="C50" s="69" t="s">
        <v>59</v>
      </c>
      <c r="D50" s="63">
        <f>SUM(D39:D49)</f>
        <v>0.99999999999999989</v>
      </c>
      <c r="E50" s="31" t="s">
        <v>58</v>
      </c>
      <c r="F50" s="70">
        <f>SUM(F39:F49)</f>
        <v>688.87192307692305</v>
      </c>
      <c r="G50" s="69" t="s">
        <v>59</v>
      </c>
      <c r="H50" s="64">
        <f>SUM(H39:H49)</f>
        <v>1</v>
      </c>
      <c r="I50" s="31" t="s">
        <v>58</v>
      </c>
      <c r="J50" s="70">
        <f>SUM(J39:J49)</f>
        <v>670.74493589743588</v>
      </c>
      <c r="K50" s="69" t="s">
        <v>59</v>
      </c>
      <c r="L50" s="64">
        <f>SUM(L39:L49)</f>
        <v>1.0000000000000002</v>
      </c>
      <c r="N50" s="8"/>
    </row>
    <row r="51" spans="1:16" ht="15" thickBot="1" x14ac:dyDescent="0.35">
      <c r="A51" s="6" t="s">
        <v>60</v>
      </c>
      <c r="B51" s="71">
        <f>B50/A38</f>
        <v>4.6873283653846149</v>
      </c>
      <c r="C51" s="72">
        <f>SUM(B50/B52)</f>
        <v>237.93545001952361</v>
      </c>
      <c r="D51" s="44"/>
      <c r="E51" s="6" t="s">
        <v>60</v>
      </c>
      <c r="F51" s="71">
        <f>F50/E38</f>
        <v>11.481198717948718</v>
      </c>
      <c r="G51" s="72">
        <f>SUM(F50/F52)</f>
        <v>68.205140898705253</v>
      </c>
      <c r="H51" s="13"/>
      <c r="I51" s="6" t="s">
        <v>60</v>
      </c>
      <c r="J51" s="71">
        <f>J50/I38</f>
        <v>8.3843116987179478</v>
      </c>
      <c r="K51" s="72">
        <f>SUM(J50/J52)</f>
        <v>134.68773813201523</v>
      </c>
      <c r="L51" s="44"/>
      <c r="N51" s="8"/>
      <c r="O51" s="8"/>
    </row>
    <row r="52" spans="1:16" ht="15" thickBot="1" x14ac:dyDescent="0.35">
      <c r="A52" s="31" t="s">
        <v>61</v>
      </c>
      <c r="B52" s="33">
        <v>3.94</v>
      </c>
      <c r="C52" s="44"/>
      <c r="D52" s="44"/>
      <c r="E52" s="31" t="s">
        <v>61</v>
      </c>
      <c r="F52" s="33">
        <v>10.1</v>
      </c>
      <c r="G52" s="44"/>
      <c r="H52" s="13"/>
      <c r="I52" s="31" t="s">
        <v>61</v>
      </c>
      <c r="J52" s="33">
        <v>4.9800000000000004</v>
      </c>
      <c r="K52" s="44"/>
      <c r="L52" s="44"/>
      <c r="M52" s="8"/>
      <c r="N52" s="73"/>
      <c r="O52" s="14"/>
      <c r="P52" s="14"/>
    </row>
    <row r="53" spans="1:16" ht="18" thickBot="1" x14ac:dyDescent="0.6">
      <c r="A53" s="74" t="s">
        <v>62</v>
      </c>
      <c r="B53" s="75">
        <f>(B52-B51)*A38</f>
        <v>-149.465673076923</v>
      </c>
      <c r="C53" s="76"/>
      <c r="D53" s="76"/>
      <c r="E53" s="74" t="s">
        <v>62</v>
      </c>
      <c r="F53" s="77">
        <f>(F52-F51)*E38</f>
        <v>-82.87192307692311</v>
      </c>
      <c r="G53" s="76"/>
      <c r="H53" s="78"/>
      <c r="I53" s="74" t="s">
        <v>62</v>
      </c>
      <c r="J53" s="77">
        <f>(J52-J51)*I38</f>
        <v>-272.34493589743579</v>
      </c>
      <c r="K53" s="76"/>
      <c r="L53" s="76"/>
      <c r="N53" s="73"/>
      <c r="O53" s="37"/>
      <c r="P53" s="8"/>
    </row>
    <row r="54" spans="1:16" ht="15" thickBot="1" x14ac:dyDescent="0.35">
      <c r="E54" s="1"/>
      <c r="G54"/>
      <c r="I54" s="1"/>
      <c r="O54" s="8"/>
      <c r="P54" s="8"/>
    </row>
    <row r="55" spans="1:16" x14ac:dyDescent="0.3">
      <c r="A55" s="6" t="s">
        <v>38</v>
      </c>
      <c r="B55" s="7"/>
      <c r="C55" s="5"/>
      <c r="D55" s="5"/>
      <c r="E55" s="52" t="s">
        <v>39</v>
      </c>
      <c r="F55" s="7"/>
      <c r="G55" s="53"/>
      <c r="H55" s="54"/>
      <c r="I55" s="52" t="s">
        <v>40</v>
      </c>
      <c r="J55" s="7"/>
      <c r="K55" s="53"/>
      <c r="L55" s="5"/>
      <c r="N55" s="8"/>
      <c r="P55" s="8"/>
    </row>
    <row r="56" spans="1:16" ht="15" thickBot="1" x14ac:dyDescent="0.35">
      <c r="A56" s="18"/>
      <c r="B56" s="56" t="s">
        <v>63</v>
      </c>
      <c r="C56" s="44"/>
      <c r="D56" s="44"/>
      <c r="E56" s="9"/>
      <c r="F56" s="56" t="s">
        <v>64</v>
      </c>
      <c r="G56" s="44"/>
      <c r="H56" s="13"/>
      <c r="I56" s="9"/>
      <c r="J56" s="56" t="s">
        <v>65</v>
      </c>
      <c r="K56" s="44"/>
      <c r="L56" s="44"/>
      <c r="M56" s="8"/>
      <c r="P56" s="8"/>
    </row>
    <row r="57" spans="1:16" ht="15" thickBot="1" x14ac:dyDescent="0.35">
      <c r="A57" s="18" t="s">
        <v>44</v>
      </c>
      <c r="B57" s="57">
        <f>I9</f>
        <v>0.65</v>
      </c>
      <c r="C57" s="58">
        <f>A58*1.1</f>
        <v>220.00000000000003</v>
      </c>
      <c r="D57" s="44"/>
      <c r="E57" s="9"/>
      <c r="G57" s="44"/>
      <c r="H57" s="13"/>
      <c r="I57" s="9"/>
      <c r="K57" s="44"/>
      <c r="L57" s="44"/>
      <c r="M57" s="1"/>
    </row>
    <row r="58" spans="1:16" ht="15" thickBot="1" x14ac:dyDescent="0.35">
      <c r="A58" s="59">
        <f>A38</f>
        <v>200</v>
      </c>
      <c r="B58" s="76" t="s">
        <v>1</v>
      </c>
      <c r="C58" s="44"/>
      <c r="D58" s="44"/>
      <c r="E58" s="61">
        <f>E38</f>
        <v>60</v>
      </c>
      <c r="F58" s="60" t="s">
        <v>1</v>
      </c>
      <c r="G58" s="44"/>
      <c r="H58" s="13"/>
      <c r="I58" s="61">
        <f>I38</f>
        <v>80</v>
      </c>
      <c r="J58" s="60" t="s">
        <v>1</v>
      </c>
      <c r="K58" s="79"/>
      <c r="L58" s="44"/>
      <c r="N58" s="8"/>
    </row>
    <row r="59" spans="1:16" x14ac:dyDescent="0.3">
      <c r="A59" s="6" t="s">
        <v>45</v>
      </c>
      <c r="B59" s="62">
        <f>B39</f>
        <v>200</v>
      </c>
      <c r="C59" s="44"/>
      <c r="D59" s="63">
        <f t="shared" ref="D59:D67" si="3">SUM(B59/$B$68)</f>
        <v>0.2079227566958875</v>
      </c>
      <c r="E59" s="6" t="s">
        <v>45</v>
      </c>
      <c r="F59" s="62">
        <f>B39</f>
        <v>200</v>
      </c>
      <c r="G59" s="44"/>
      <c r="H59" s="63">
        <f t="shared" ref="H59:H67" si="4">SUM(F59/$F$68)</f>
        <v>0.28951859182611067</v>
      </c>
      <c r="I59" s="6" t="s">
        <v>45</v>
      </c>
      <c r="J59" s="62">
        <f>B39</f>
        <v>200</v>
      </c>
      <c r="K59" s="80"/>
      <c r="L59" s="64">
        <f t="shared" ref="L59:L67" si="5">SUM(J59/$J$68)</f>
        <v>0.29404200220361859</v>
      </c>
      <c r="M59" s="8"/>
    </row>
    <row r="60" spans="1:16" x14ac:dyDescent="0.3">
      <c r="A60" s="18" t="s">
        <v>46</v>
      </c>
      <c r="B60" s="17">
        <f>D31</f>
        <v>218</v>
      </c>
      <c r="C60" s="44"/>
      <c r="D60" s="63">
        <f t="shared" si="3"/>
        <v>0.22663580479851736</v>
      </c>
      <c r="E60" s="18" t="s">
        <v>46</v>
      </c>
      <c r="F60" s="17">
        <f>J31</f>
        <v>183</v>
      </c>
      <c r="G60" s="44"/>
      <c r="H60" s="63">
        <f t="shared" si="4"/>
        <v>0.26490951152089126</v>
      </c>
      <c r="I60" s="18" t="s">
        <v>46</v>
      </c>
      <c r="J60" s="17">
        <f>J31</f>
        <v>183</v>
      </c>
      <c r="K60" s="80"/>
      <c r="L60" s="64">
        <f t="shared" si="5"/>
        <v>0.26904843201631101</v>
      </c>
      <c r="N60" s="14"/>
    </row>
    <row r="61" spans="1:16" x14ac:dyDescent="0.3">
      <c r="A61" s="18" t="s">
        <v>47</v>
      </c>
      <c r="B61" s="65">
        <f>B41</f>
        <v>120</v>
      </c>
      <c r="C61" s="44"/>
      <c r="D61" s="63">
        <f t="shared" si="3"/>
        <v>0.12475365401753249</v>
      </c>
      <c r="E61" s="18" t="s">
        <v>47</v>
      </c>
      <c r="F61" s="65">
        <f>F41</f>
        <v>62</v>
      </c>
      <c r="G61" s="44"/>
      <c r="H61" s="63">
        <f t="shared" si="4"/>
        <v>8.9750763466094299E-2</v>
      </c>
      <c r="I61" s="18" t="s">
        <v>47</v>
      </c>
      <c r="J61" s="65">
        <f>J41</f>
        <v>66</v>
      </c>
      <c r="K61" s="80"/>
      <c r="L61" s="64">
        <f t="shared" si="5"/>
        <v>9.7033860727194138E-2</v>
      </c>
      <c r="N61" s="8"/>
    </row>
    <row r="62" spans="1:16" x14ac:dyDescent="0.3">
      <c r="A62" s="18" t="s">
        <v>48</v>
      </c>
      <c r="B62" s="17">
        <f>B42</f>
        <v>110.89567307692306</v>
      </c>
      <c r="C62" s="44"/>
      <c r="D62" s="63">
        <f t="shared" si="3"/>
        <v>0.11528867025899878</v>
      </c>
      <c r="E62" s="18" t="s">
        <v>48</v>
      </c>
      <c r="F62" s="17">
        <f>D12+E11</f>
        <v>80.801923076923075</v>
      </c>
      <c r="G62" s="44"/>
      <c r="H62" s="63">
        <f t="shared" si="4"/>
        <v>0.11696829493036241</v>
      </c>
      <c r="I62" s="18" t="s">
        <v>48</v>
      </c>
      <c r="J62" s="17">
        <f>J42</f>
        <v>68.974935897435898</v>
      </c>
      <c r="K62" s="80"/>
      <c r="L62" s="64">
        <f t="shared" si="5"/>
        <v>0.10140764126574149</v>
      </c>
      <c r="M62" s="8"/>
      <c r="N62" s="8"/>
    </row>
    <row r="63" spans="1:16" x14ac:dyDescent="0.3">
      <c r="A63" s="18" t="s">
        <v>49</v>
      </c>
      <c r="B63" s="17">
        <f>(A58*B57)*1.1</f>
        <v>143</v>
      </c>
      <c r="C63" s="67"/>
      <c r="D63" s="63">
        <f t="shared" si="3"/>
        <v>0.14866477103755957</v>
      </c>
      <c r="E63" s="18" t="s">
        <v>49</v>
      </c>
      <c r="F63" s="17">
        <f>(E58*F57)*1.1</f>
        <v>0</v>
      </c>
      <c r="G63" s="44"/>
      <c r="H63" s="63">
        <f t="shared" si="4"/>
        <v>0</v>
      </c>
      <c r="I63" s="18" t="s">
        <v>49</v>
      </c>
      <c r="J63" s="17">
        <f>I58*1.1*I9</f>
        <v>57.2</v>
      </c>
      <c r="K63" s="80"/>
      <c r="L63" s="64">
        <f t="shared" si="5"/>
        <v>8.4096012630234918E-2</v>
      </c>
      <c r="M63" s="8"/>
    </row>
    <row r="64" spans="1:16" x14ac:dyDescent="0.3">
      <c r="A64" s="18" t="s">
        <v>66</v>
      </c>
      <c r="B64" s="65">
        <v>50</v>
      </c>
      <c r="C64" s="67"/>
      <c r="D64" s="63">
        <f t="shared" si="3"/>
        <v>5.1980689173971875E-2</v>
      </c>
      <c r="E64" s="18" t="s">
        <v>67</v>
      </c>
      <c r="F64" s="65">
        <v>75</v>
      </c>
      <c r="G64" s="44"/>
      <c r="H64" s="63">
        <f t="shared" si="4"/>
        <v>0.10856947193479149</v>
      </c>
      <c r="I64" s="18" t="s">
        <v>67</v>
      </c>
      <c r="J64" s="65">
        <v>15</v>
      </c>
      <c r="K64" s="80"/>
      <c r="L64" s="64">
        <f t="shared" si="5"/>
        <v>2.2053150165271394E-2</v>
      </c>
    </row>
    <row r="65" spans="1:14" ht="15" thickBot="1" x14ac:dyDescent="0.35">
      <c r="A65" s="18" t="s">
        <v>53</v>
      </c>
      <c r="B65" s="65">
        <v>30</v>
      </c>
      <c r="C65" s="44"/>
      <c r="D65" s="63">
        <f t="shared" si="3"/>
        <v>3.1188413504383124E-2</v>
      </c>
      <c r="E65" s="18" t="s">
        <v>53</v>
      </c>
      <c r="F65" s="65">
        <v>25</v>
      </c>
      <c r="G65" s="13"/>
      <c r="H65" s="63">
        <f t="shared" si="4"/>
        <v>3.6189823978263834E-2</v>
      </c>
      <c r="I65" s="18" t="s">
        <v>53</v>
      </c>
      <c r="J65" s="65">
        <v>30</v>
      </c>
      <c r="K65" s="44"/>
      <c r="L65" s="64">
        <f t="shared" si="5"/>
        <v>4.4106300330542789E-2</v>
      </c>
      <c r="N65" s="8"/>
    </row>
    <row r="66" spans="1:14" x14ac:dyDescent="0.3">
      <c r="A66" s="18" t="s">
        <v>68</v>
      </c>
      <c r="B66" s="65">
        <f>B48</f>
        <v>35</v>
      </c>
      <c r="C66" s="68" t="s">
        <v>55</v>
      </c>
      <c r="D66" s="63">
        <f t="shared" si="3"/>
        <v>3.638648242178031E-2</v>
      </c>
      <c r="E66" s="18" t="s">
        <v>54</v>
      </c>
      <c r="F66" s="65">
        <f>F48</f>
        <v>25</v>
      </c>
      <c r="G66" s="68" t="s">
        <v>55</v>
      </c>
      <c r="H66" s="63">
        <f t="shared" si="4"/>
        <v>3.6189823978263834E-2</v>
      </c>
      <c r="I66" s="18" t="s">
        <v>56</v>
      </c>
      <c r="J66" s="65">
        <f>J48</f>
        <v>20</v>
      </c>
      <c r="K66" s="68" t="s">
        <v>55</v>
      </c>
      <c r="L66" s="64">
        <f t="shared" si="5"/>
        <v>2.9404200220361859E-2</v>
      </c>
      <c r="N66" s="8"/>
    </row>
    <row r="67" spans="1:14" x14ac:dyDescent="0.3">
      <c r="A67" s="18" t="s">
        <v>36</v>
      </c>
      <c r="B67" s="65">
        <f>B49</f>
        <v>55</v>
      </c>
      <c r="C67" s="69" t="s">
        <v>57</v>
      </c>
      <c r="D67" s="63">
        <f t="shared" si="3"/>
        <v>5.7178758091369061E-2</v>
      </c>
      <c r="E67" s="18" t="s">
        <v>36</v>
      </c>
      <c r="F67" s="65">
        <f>F49</f>
        <v>40</v>
      </c>
      <c r="G67" s="69" t="s">
        <v>57</v>
      </c>
      <c r="H67" s="63">
        <f t="shared" si="4"/>
        <v>5.790371836522213E-2</v>
      </c>
      <c r="I67" s="18" t="s">
        <v>36</v>
      </c>
      <c r="J67" s="65">
        <f>J49</f>
        <v>40</v>
      </c>
      <c r="K67" s="69" t="s">
        <v>57</v>
      </c>
      <c r="L67" s="64">
        <f t="shared" si="5"/>
        <v>5.8808400440723718E-2</v>
      </c>
      <c r="M67" s="8"/>
    </row>
    <row r="68" spans="1:14" ht="15" thickBot="1" x14ac:dyDescent="0.35">
      <c r="A68" s="31" t="s">
        <v>58</v>
      </c>
      <c r="B68" s="70">
        <f>SUM(B59:B67)</f>
        <v>961.895673076923</v>
      </c>
      <c r="C68" s="69" t="s">
        <v>59</v>
      </c>
      <c r="D68" s="63">
        <f>SUM(D59:D67)</f>
        <v>1.0000000000000002</v>
      </c>
      <c r="E68" s="31" t="s">
        <v>58</v>
      </c>
      <c r="F68" s="70">
        <f>SUM(F59:F67)</f>
        <v>690.80192307692312</v>
      </c>
      <c r="G68" s="69" t="s">
        <v>59</v>
      </c>
      <c r="H68" s="81">
        <f>SUM(H59:H67)</f>
        <v>1.0000000000000002</v>
      </c>
      <c r="I68" s="31" t="s">
        <v>58</v>
      </c>
      <c r="J68" s="70">
        <f>SUM(J59:J67)</f>
        <v>680.17493589743594</v>
      </c>
      <c r="K68" s="69" t="s">
        <v>59</v>
      </c>
      <c r="L68" s="64">
        <f>SUM(L59:L67)</f>
        <v>1</v>
      </c>
      <c r="N68" s="14"/>
    </row>
    <row r="69" spans="1:14" ht="15" thickBot="1" x14ac:dyDescent="0.35">
      <c r="A69" s="6" t="s">
        <v>60</v>
      </c>
      <c r="B69" s="71">
        <f>B68/A58</f>
        <v>4.8094783653846154</v>
      </c>
      <c r="C69" s="72">
        <f>SUM(B68/B70)</f>
        <v>244.13595763373681</v>
      </c>
      <c r="D69" s="44"/>
      <c r="E69" s="6" t="s">
        <v>60</v>
      </c>
      <c r="F69" s="71">
        <f>F68/E58</f>
        <v>11.513365384615385</v>
      </c>
      <c r="G69" s="72">
        <f>SUM(F68/F70)</f>
        <v>68.396230007616154</v>
      </c>
      <c r="H69" s="13"/>
      <c r="I69" s="6" t="s">
        <v>60</v>
      </c>
      <c r="J69" s="71">
        <f>J68/I58</f>
        <v>8.5021866987179493</v>
      </c>
      <c r="K69" s="72">
        <f>SUM(J68/J70)</f>
        <v>136.58131242920399</v>
      </c>
      <c r="L69" s="44"/>
      <c r="N69" s="8"/>
    </row>
    <row r="70" spans="1:14" ht="15" thickBot="1" x14ac:dyDescent="0.35">
      <c r="A70" s="31" t="s">
        <v>61</v>
      </c>
      <c r="B70" s="33">
        <f>B52</f>
        <v>3.94</v>
      </c>
      <c r="C70" s="44"/>
      <c r="D70" s="44"/>
      <c r="E70" s="31" t="s">
        <v>61</v>
      </c>
      <c r="F70" s="33">
        <f>F52</f>
        <v>10.1</v>
      </c>
      <c r="G70" s="44"/>
      <c r="H70" s="13"/>
      <c r="I70" s="31" t="s">
        <v>61</v>
      </c>
      <c r="J70" s="33">
        <f>J52</f>
        <v>4.9800000000000004</v>
      </c>
      <c r="K70" s="80"/>
      <c r="L70" s="44"/>
      <c r="M70" s="8"/>
    </row>
    <row r="71" spans="1:14" ht="18" thickBot="1" x14ac:dyDescent="0.6">
      <c r="A71" s="74" t="s">
        <v>62</v>
      </c>
      <c r="B71" s="75">
        <f>(B70-B69)*A58</f>
        <v>-173.89567307692309</v>
      </c>
      <c r="C71" s="76"/>
      <c r="D71" s="76"/>
      <c r="E71" s="74" t="s">
        <v>62</v>
      </c>
      <c r="F71" s="77">
        <f>(F70-F69)*E58</f>
        <v>-84.801923076923131</v>
      </c>
      <c r="G71" s="76"/>
      <c r="H71" s="78"/>
      <c r="I71" s="74" t="s">
        <v>62</v>
      </c>
      <c r="J71" s="77">
        <f>(J70-J69)*I58</f>
        <v>-281.77493589743591</v>
      </c>
      <c r="K71" s="82"/>
      <c r="L71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Altstaetter</dc:creator>
  <cp:lastModifiedBy>Phil Altstaetter</cp:lastModifiedBy>
  <dcterms:created xsi:type="dcterms:W3CDTF">2025-09-08T09:51:38Z</dcterms:created>
  <dcterms:modified xsi:type="dcterms:W3CDTF">2025-09-08T09:52:46Z</dcterms:modified>
</cp:coreProperties>
</file>